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15" windowHeight="10305" activeTab="1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1">'Φύλλο2'!$A$1:$V$37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<sst xmlns="http://schemas.openxmlformats.org/spreadsheetml/2006/main" count="84" uniqueCount="75">
  <si>
    <t xml:space="preserve">Κέρδος παρόχου €/Mwh </t>
  </si>
  <si>
    <t xml:space="preserve">Ανταγωνιστικό σκέλος - Τιμή δελεασμού €/Mwh  </t>
  </si>
  <si>
    <t xml:space="preserve">Συντελεστής Προσαύξησης Β </t>
  </si>
  <si>
    <t xml:space="preserve">Ρητρα €/Mwh  </t>
  </si>
  <si>
    <t>Κατανάλωση Mwh</t>
  </si>
  <si>
    <t>Περίοδος Κατανάλωσης</t>
  </si>
  <si>
    <t xml:space="preserve">Συντελεστής Προσαύξησης Α   </t>
  </si>
  <si>
    <t>Δ/Υ</t>
  </si>
  <si>
    <t>ΜΕΡΑ 13/08/2020 - 03/02/2021</t>
  </si>
  <si>
    <t>ΝΥΧΤΑ 13/08/2020 - 03/02/2021</t>
  </si>
  <si>
    <t>ΗΜΕΡΕΣ</t>
  </si>
  <si>
    <t>ΜΕΡΑ 1/7/2021 - 31/7/2021</t>
  </si>
  <si>
    <t>ΝΥΧΤΑ 1/7/2021 - 31/7/2021</t>
  </si>
  <si>
    <t>ΜΕΡΑ 1/8/2021 - 31/8/2021</t>
  </si>
  <si>
    <t>ΝΥΧΤΑ 1/8/2021 - 31/8/2021</t>
  </si>
  <si>
    <t>ΜΕΡΑ 02/06/2021 - 30/06/2021</t>
  </si>
  <si>
    <t>ΝΥΧΤΑ 02/06/2021 - 30/06/2021</t>
  </si>
  <si>
    <t>ΜΕΡΑ 1/9/2021 - 30/9/2021</t>
  </si>
  <si>
    <t>ΝΥΧΤΑ 1/9/2021 - 30/9/2021</t>
  </si>
  <si>
    <t>ΜΕΡΑ 1/10/2021 - 31/10/2021</t>
  </si>
  <si>
    <t>ΜΕΡΑ 1/11/2021 - 30/11/2021</t>
  </si>
  <si>
    <t>ΝΥΧΤΑ 1/11/2021 - 30/11/2021</t>
  </si>
  <si>
    <t>ΝΥΧΤΑ 1/10/2021 - 31/10/2021</t>
  </si>
  <si>
    <t>ΜΕΡΑ 1/12/2021 - 31/12/2021</t>
  </si>
  <si>
    <t>ΝΥΧΤΑ 1/12/2021 - 31/12/2021</t>
  </si>
  <si>
    <t>ΜΕΡΑ 1/1/2022 - 31/1/2022</t>
  </si>
  <si>
    <t>ΝΥΧΤΑ 1/1/2022 - 31/1/2022</t>
  </si>
  <si>
    <t>ΜΕΡΑ 1/2/2022 - 1/2/2022</t>
  </si>
  <si>
    <t>ΝΥΧΤΑ 1/2/2022 - 1/2/2022</t>
  </si>
  <si>
    <t xml:space="preserve">ΣΥΝΟΛΙΚΟ Κέρδος παρόχου € </t>
  </si>
  <si>
    <t>Κέρδος παρόχου € ΜΕΡΑ/ΝΥΧΤΑ</t>
  </si>
  <si>
    <t>ΜΕΡΑ 02/02/2022 - 02/03/2022</t>
  </si>
  <si>
    <t>ΝΥΧΤΑ 02/02/2022 - 02/03/2022</t>
  </si>
  <si>
    <t>ΜΕΡΑ 02/03/2022 - 04/04/2022</t>
  </si>
  <si>
    <t>ΝΥΧΤΑ 02/03/2022 - 04/04/2022</t>
  </si>
  <si>
    <t>ΜΕΡΑ 08/02/2021 - 02/06/2021</t>
  </si>
  <si>
    <t>ΝΥΧΤΑ 08/02/2021 - 02/06/2021</t>
  </si>
  <si>
    <t>ΜΕΡΑ 03/02/2021 - 08/02/2021</t>
  </si>
  <si>
    <t>ΝΥΧΤΑ03/02/2021 - 08/02/2021</t>
  </si>
  <si>
    <r>
      <t xml:space="preserve">Έκκαθαριστικος Λογαριασμός 13/08/2020 - 03/02/2021 ( </t>
    </r>
    <r>
      <rPr>
        <b/>
        <sz val="20"/>
        <rFont val="Calibri"/>
        <family val="2"/>
      </rPr>
      <t>ΧΩΡΙΣ ΡΗΤΡΑ</t>
    </r>
    <r>
      <rPr>
        <sz val="20"/>
        <rFont val="Calibri"/>
        <family val="2"/>
      </rPr>
      <t>)  - ΜΕ ΕΚΠΤΩΣΗ ΣΥΝΕΠΕΙΑΣ - Βάση Αναφοράς Κέρδους</t>
    </r>
  </si>
  <si>
    <r>
      <t xml:space="preserve">Έκκαθαριστικος Λογαριασμό 02/03/2022 - 04/04/2022 </t>
    </r>
    <r>
      <rPr>
        <b/>
        <sz val="18"/>
        <rFont val="Arial"/>
        <family val="2"/>
      </rPr>
      <t>ΜΕ ΡΗΤΡΑ</t>
    </r>
    <r>
      <rPr>
        <sz val="18"/>
        <rFont val="Arial"/>
        <family val="0"/>
      </rPr>
      <t xml:space="preserve"> - ΜΕ ΕΚΠΤΩΣΗ ΣΥΝΕΠΕΙΑΣ</t>
    </r>
  </si>
  <si>
    <r>
      <t xml:space="preserve">Έκαθαριστικος Λογαριασμός 02/06/2021 -  1/2/2022 - 1/2/2022 Με </t>
    </r>
    <r>
      <rPr>
        <b/>
        <sz val="18"/>
        <rFont val="Arial"/>
        <family val="2"/>
      </rPr>
      <t>ΣΥΣΣΩΡΕΥΜΕΝΗ ΡΗΤΡΑ 8 ΜΗΝΩΝ</t>
    </r>
    <r>
      <rPr>
        <sz val="18"/>
        <rFont val="Arial"/>
        <family val="0"/>
      </rPr>
      <t xml:space="preserve">  - ΜΕ ΕΚΠΤΩΣΗ ΣΥΝΕΠΕΙΑΣ</t>
    </r>
  </si>
  <si>
    <r>
      <t xml:space="preserve">Έκκαθαριστικος Λογαριασμό 02/02/2022 - 02/03/2022 </t>
    </r>
    <r>
      <rPr>
        <b/>
        <sz val="18"/>
        <rFont val="Arial"/>
        <family val="2"/>
      </rPr>
      <t xml:space="preserve">ΜΕ ΡΗΤΡΑ </t>
    </r>
    <r>
      <rPr>
        <sz val="18"/>
        <rFont val="Arial"/>
        <family val="0"/>
      </rPr>
      <t xml:space="preserve">- </t>
    </r>
    <r>
      <rPr>
        <b/>
        <u val="single"/>
        <sz val="18"/>
        <rFont val="Arial"/>
        <family val="2"/>
      </rPr>
      <t>ΧΩΡΙΣ ΕΚΠΤΩΣΗ ΣΥΝΕΠΕΙΑΣ</t>
    </r>
  </si>
  <si>
    <t xml:space="preserve">Χονδρική ΤΕΑ  €/Mwh  </t>
  </si>
  <si>
    <t xml:space="preserve"> Άθροισμα  Λιανικής €/Mwh </t>
  </si>
  <si>
    <r>
      <t xml:space="preserve"> Άθροισμα  Λογαριασμού </t>
    </r>
    <r>
      <rPr>
        <b/>
        <sz val="14"/>
        <rFont val="Calibri"/>
        <family val="2"/>
      </rPr>
      <t>€</t>
    </r>
  </si>
  <si>
    <t xml:space="preserve">Μεσο κέρδος παρόχου €/Mwh </t>
  </si>
  <si>
    <t xml:space="preserve"> ΒΑΣΗ ΥΠΟΛΟΓΙΣΜΟΥ ΥΠΕΡΚΕΡΔΟΥΣ</t>
  </si>
  <si>
    <r>
      <t xml:space="preserve">Έκκαθαριστικος Λογαριασμός 03/02/2021 - 02/06/2021 Με </t>
    </r>
    <r>
      <rPr>
        <b/>
        <sz val="18"/>
        <rFont val="Arial"/>
        <family val="2"/>
      </rPr>
      <t>ΕΙΣΑΓΩΓΗ ΑΝΑΔΡΟΜΙΚΗΣ ΡΗΤΡΑΣ ΑΠΌ 8~9/2/2021</t>
    </r>
    <r>
      <rPr>
        <sz val="18"/>
        <rFont val="Arial"/>
        <family val="0"/>
      </rPr>
      <t xml:space="preserve"> (1273KWh με ρήτρα από τις 1341KWh) - ΜΕ ΕΚΠΤΩΣΗ ΣΥΝΕΠΕΙΑΣ</t>
    </r>
  </si>
  <si>
    <r>
      <t xml:space="preserve">Κέρδος σε € στο λογαρισμό </t>
    </r>
    <r>
      <rPr>
        <b/>
        <sz val="14"/>
        <color indexed="9"/>
        <rFont val="Arial"/>
        <family val="2"/>
      </rPr>
      <t>ΑΝΩ</t>
    </r>
    <r>
      <rPr>
        <sz val="14"/>
        <color indexed="9"/>
        <rFont val="Arial"/>
        <family val="0"/>
      </rPr>
      <t xml:space="preserve"> του κανονικού </t>
    </r>
  </si>
  <si>
    <r>
      <t xml:space="preserve">Ποσοστό </t>
    </r>
    <r>
      <rPr>
        <b/>
        <sz val="14"/>
        <color indexed="9"/>
        <rFont val="Arial"/>
        <family val="2"/>
      </rPr>
      <t>%</t>
    </r>
    <r>
      <rPr>
        <sz val="14"/>
        <color indexed="9"/>
        <rFont val="Arial"/>
        <family val="2"/>
      </rPr>
      <t xml:space="preserve"> κέρδους </t>
    </r>
    <r>
      <rPr>
        <b/>
        <sz val="14"/>
        <color indexed="9"/>
        <rFont val="Arial"/>
        <family val="2"/>
      </rPr>
      <t>ΑΝΩ</t>
    </r>
    <r>
      <rPr>
        <sz val="14"/>
        <color indexed="9"/>
        <rFont val="Arial"/>
        <family val="2"/>
      </rPr>
      <t xml:space="preserve"> του κανονικού</t>
    </r>
  </si>
  <si>
    <t>ΣΥΝΟΛΑ</t>
  </si>
  <si>
    <t>ΡΗΤΡΑΣ</t>
  </si>
  <si>
    <t>ΥΠΕΡΚΕΡΔΟΣ</t>
  </si>
  <si>
    <r>
      <t>ΕΚΤΙΜΩΜΕΝΟ ΜΕΣΟ ΠΡΑΓΜΑΤΙΚΟ ΚΟΣΤΟΣ ΠΑΡΑΓΩΓΗΣ  ΣΤΟΝ ΛΟΓΑΡΙΑΣΜΟ</t>
    </r>
    <r>
      <rPr>
        <b/>
        <sz val="16"/>
        <color indexed="9"/>
        <rFont val="Arial"/>
        <family val="2"/>
      </rPr>
      <t xml:space="preserve"> €</t>
    </r>
  </si>
  <si>
    <r>
      <t>Ρήτρα Λογαριασμού</t>
    </r>
    <r>
      <rPr>
        <b/>
        <sz val="14"/>
        <rFont val="Calibri"/>
        <family val="2"/>
      </rPr>
      <t xml:space="preserve"> </t>
    </r>
    <r>
      <rPr>
        <b/>
        <sz val="16"/>
        <rFont val="Calibri"/>
        <family val="2"/>
      </rPr>
      <t>€</t>
    </r>
  </si>
  <si>
    <t>(ΤΕΑ*A+B)-Lu</t>
  </si>
  <si>
    <t xml:space="preserve">ΟΡΙΟ ΟΤΣ Παρόχου Lu €/Mwh  </t>
  </si>
  <si>
    <t>(Ρήτρα) + (Αντ. Σκελος)</t>
  </si>
  <si>
    <t xml:space="preserve">(Κατανάλωση)*(Ρήτρα) </t>
  </si>
  <si>
    <t xml:space="preserve">(Κατανάλωση)*(Άθροισμα  Λιανικής) </t>
  </si>
  <si>
    <t>(Κατανάλωση)*(Κερδος Παρόχου) ΔΙΑΚΡΙΤΑ ΚΕΡΔΗ ΜΕΡΑΣ / ΝΥΧΤΑΣ</t>
  </si>
  <si>
    <t xml:space="preserve"> (Άθροισμα  Λιανικής) - ΤΕΑ                                 ΔΙΑΚΡΙΤΑ ΚΕΡΔΗ ΜΕΡΑΣ / ΝΥΧΤΑΣ</t>
  </si>
  <si>
    <t>ΚΕΡΔΟΣ ΜΕΡΑΣ + ΚΕΔΡΟΣ ΝΥΧΤΑΣ</t>
  </si>
  <si>
    <t>ΣΥΝΟΛΙΚΟ Κέρδος / ΣΥΝΟΛΟ Κατανάλωσης</t>
  </si>
  <si>
    <t>ΤΕΑ*ΣΥΝΟΛΟ ΚΑΤΑΝΑΛΩΣΗΣ</t>
  </si>
  <si>
    <t>ΟΤΣ *0,634</t>
  </si>
  <si>
    <t xml:space="preserve">(ΕΚΤΙΜΩΜΕΝΟ ΜΕΣΟ ΠΡΑΓΜΑΤΙΚΟ ΚΟΣΤΟΣ)*(ΣΥΝΟΛΟ ΚΑΤΑΝΑΛΩΣΗΣ) </t>
  </si>
  <si>
    <t xml:space="preserve">(ΚΟΣΤΟΣ ΚΑΤΆ ΟΤΣ/ΤΕΑ ΣΤΟΝ ΛΟΓΑΡΙΑΣΜΟ) - (ΕΚΤΙΜΩΜΕΝΟ ΠΡΑΓΜΑΤΙΚΟ*ΣΥΝΟΛΟ ΚΑΤΑΝΑΛΩΣΗΣ) </t>
  </si>
  <si>
    <r>
      <t xml:space="preserve">ΚΟΣΤΟΣ ΚΑΤΆ ΤΕΑ ΣΤΟΝ ΛΟΓΑΡΙΑΣΜΟ </t>
    </r>
    <r>
      <rPr>
        <b/>
        <sz val="16"/>
        <color indexed="9"/>
        <rFont val="Arial"/>
        <family val="2"/>
      </rPr>
      <t>€ (ΚΟΣΤΟΣ ΧΟΝΔΡΙΚΗΣ)</t>
    </r>
  </si>
  <si>
    <r>
      <t xml:space="preserve">ΕΚΤΙΜΩΜΕΝΟ ΜΕΣΟ ΠΡΑΓΜΑΤΙΚΟ ΚΟΣΤΟΣ ΠΑΡΑΓΩΓΗΣ (ΤΕΑ*0,634) </t>
    </r>
    <r>
      <rPr>
        <sz val="16"/>
        <color indexed="9"/>
        <rFont val="Calibri"/>
        <family val="2"/>
      </rPr>
      <t>€/Mwh  (ΠΡΑΓΜΑΤΙΚΟ ΜΕΣΟ ΚΟΣΤΟΣ ΧΟΝΔΡΙΚΗΣ)</t>
    </r>
  </si>
  <si>
    <r>
      <t xml:space="preserve">ΔΙΑΦΟΡΑ ΤΕΑ - ΕΚΤΙΜΩΜΕΝΟΥ ΠΡΑΓΜΑΤΙΚΟΥ ΚΟΣΤΟΥΣ ΣΤΟΝ ΛΟΓΑΡΙΑΣΜΟ </t>
    </r>
    <r>
      <rPr>
        <b/>
        <sz val="16"/>
        <color indexed="9"/>
        <rFont val="Arial"/>
        <family val="2"/>
      </rPr>
      <t>€</t>
    </r>
  </si>
  <si>
    <t>ΑΘΡΟΙΣΜΑ € ΚΟΣΤΟΥΣ ΚΑΤΆ ΤΕΑ</t>
  </si>
  <si>
    <t>ΔΙΑΦΟΡΑ ΤΕΑ - ΠΡΑΓΜΑΤΙΚΟΥ ΚΟΣΤΟΥΣ</t>
  </si>
  <si>
    <t>ΤΥΠΟΣ ΥΠΟΛΟΓΙΣΜΟΥ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</si>
</sst>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30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4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color indexed="9"/>
      <name val="Arial"/>
      <family val="2"/>
    </font>
    <font>
      <sz val="20"/>
      <name val="Calibri"/>
      <family val="2"/>
    </font>
    <font>
      <b/>
      <sz val="14"/>
      <color indexed="9"/>
      <name val="Arial"/>
      <family val="2"/>
    </font>
    <font>
      <b/>
      <sz val="16"/>
      <color indexed="23"/>
      <name val="Arial"/>
      <family val="2"/>
    </font>
    <font>
      <b/>
      <sz val="20"/>
      <name val="Calibri"/>
      <family val="2"/>
    </font>
    <font>
      <sz val="20"/>
      <name val="Arial"/>
      <family val="0"/>
    </font>
    <font>
      <sz val="18"/>
      <name val="Arial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8"/>
      <color indexed="9"/>
      <name val="Arial"/>
      <family val="2"/>
    </font>
    <font>
      <b/>
      <sz val="14"/>
      <name val="Calibri"/>
      <family val="2"/>
    </font>
    <font>
      <sz val="14"/>
      <color indexed="9"/>
      <name val="Arial"/>
      <family val="0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sz val="18"/>
      <color indexed="9"/>
      <name val="Arial"/>
      <family val="0"/>
    </font>
    <font>
      <sz val="12"/>
      <color indexed="9"/>
      <name val="Calibri"/>
      <family val="2"/>
    </font>
    <font>
      <sz val="16"/>
      <color indexed="9"/>
      <name val="Calibri"/>
      <family val="2"/>
    </font>
    <font>
      <b/>
      <sz val="16"/>
      <name val="Calibri"/>
      <family val="2"/>
    </font>
    <font>
      <b/>
      <sz val="25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2" fontId="0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6" borderId="4" xfId="0" applyFont="1" applyFill="1" applyBorder="1" applyAlignment="1">
      <alignment horizontal="center" vertical="center"/>
    </xf>
    <xf numFmtId="2" fontId="16" fillId="6" borderId="5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/>
    </xf>
    <xf numFmtId="2" fontId="16" fillId="6" borderId="10" xfId="0" applyNumberFormat="1" applyFont="1" applyFill="1" applyBorder="1" applyAlignment="1">
      <alignment horizontal="center" vertical="center"/>
    </xf>
    <xf numFmtId="2" fontId="16" fillId="6" borderId="11" xfId="0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/>
    </xf>
    <xf numFmtId="0" fontId="19" fillId="4" borderId="12" xfId="0" applyFont="1" applyFill="1" applyBorder="1" applyAlignment="1">
      <alignment/>
    </xf>
    <xf numFmtId="10" fontId="8" fillId="5" borderId="3" xfId="0" applyNumberFormat="1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2" fontId="16" fillId="5" borderId="4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0" fontId="8" fillId="5" borderId="2" xfId="0" applyNumberFormat="1" applyFont="1" applyFill="1" applyBorder="1" applyAlignment="1">
      <alignment horizontal="center" vertical="center"/>
    </xf>
    <xf numFmtId="2" fontId="16" fillId="7" borderId="2" xfId="0" applyNumberFormat="1" applyFont="1" applyFill="1" applyBorder="1" applyAlignment="1">
      <alignment horizontal="center" vertical="center"/>
    </xf>
    <xf numFmtId="2" fontId="16" fillId="7" borderId="3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6" fillId="7" borderId="13" xfId="0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/>
    </xf>
    <xf numFmtId="2" fontId="22" fillId="7" borderId="1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8" borderId="8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/>
    </xf>
    <xf numFmtId="0" fontId="19" fillId="8" borderId="12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/>
    </xf>
    <xf numFmtId="0" fontId="12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2" fontId="16" fillId="5" borderId="4" xfId="0" applyNumberFormat="1" applyFont="1" applyFill="1" applyBorder="1" applyAlignment="1">
      <alignment horizontal="center" vertical="center"/>
    </xf>
    <xf numFmtId="2" fontId="6" fillId="8" borderId="7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13" fillId="7" borderId="1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2" fontId="12" fillId="4" borderId="10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4" fontId="0" fillId="3" borderId="2" xfId="0" applyNumberFormat="1" applyFont="1" applyFill="1" applyBorder="1" applyAlignment="1" applyProtection="1">
      <alignment/>
      <protection locked="0"/>
    </xf>
    <xf numFmtId="14" fontId="0" fillId="3" borderId="3" xfId="0" applyNumberFormat="1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70" zoomScaleNormal="70" workbookViewId="0" topLeftCell="A1">
      <selection activeCell="H12" sqref="H12:H13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13.140625" style="1" customWidth="1"/>
    <col min="4" max="4" width="13.7109375" style="0" customWidth="1"/>
    <col min="5" max="6" width="13.421875" style="0" customWidth="1"/>
    <col min="7" max="7" width="19.7109375" style="0" customWidth="1"/>
    <col min="8" max="8" width="12.7109375" style="0" customWidth="1"/>
    <col min="9" max="9" width="21.28125" style="0" customWidth="1"/>
    <col min="10" max="10" width="19.7109375" style="0" customWidth="1"/>
    <col min="11" max="11" width="29.421875" style="1" customWidth="1"/>
    <col min="12" max="12" width="22.00390625" style="1" customWidth="1"/>
    <col min="13" max="13" width="31.8515625" style="1" customWidth="1"/>
    <col min="14" max="14" width="30.140625" style="0" customWidth="1"/>
    <col min="15" max="15" width="19.7109375" style="1" customWidth="1"/>
    <col min="16" max="16" width="19.7109375" style="0" customWidth="1"/>
    <col min="17" max="17" width="21.7109375" style="0" customWidth="1"/>
    <col min="18" max="19" width="24.140625" style="3" customWidth="1"/>
    <col min="20" max="20" width="25.8515625" style="3" customWidth="1"/>
    <col min="21" max="21" width="22.00390625" style="3" customWidth="1"/>
    <col min="22" max="22" width="26.28125" style="3" customWidth="1"/>
    <col min="23" max="16384" width="9.140625" style="3" customWidth="1"/>
  </cols>
  <sheetData>
    <row r="1" spans="1:22" ht="134.25" customHeight="1" thickBot="1">
      <c r="A1" s="23" t="s">
        <v>5</v>
      </c>
      <c r="B1" s="23" t="s">
        <v>10</v>
      </c>
      <c r="C1" s="23" t="s">
        <v>4</v>
      </c>
      <c r="D1" s="2" t="s">
        <v>57</v>
      </c>
      <c r="E1" s="2" t="s">
        <v>6</v>
      </c>
      <c r="F1" s="2" t="s">
        <v>2</v>
      </c>
      <c r="G1" s="2" t="s">
        <v>1</v>
      </c>
      <c r="H1" s="23" t="s">
        <v>43</v>
      </c>
      <c r="I1" s="24" t="s">
        <v>3</v>
      </c>
      <c r="J1" s="23" t="s">
        <v>44</v>
      </c>
      <c r="K1" s="23" t="s">
        <v>0</v>
      </c>
      <c r="L1" s="23" t="s">
        <v>55</v>
      </c>
      <c r="M1" s="23" t="s">
        <v>45</v>
      </c>
      <c r="N1" s="23" t="s">
        <v>30</v>
      </c>
      <c r="O1" s="23" t="s">
        <v>29</v>
      </c>
      <c r="P1" s="23" t="s">
        <v>46</v>
      </c>
      <c r="Q1" s="25" t="s">
        <v>50</v>
      </c>
      <c r="R1" s="29" t="s">
        <v>49</v>
      </c>
      <c r="S1" s="33" t="s">
        <v>69</v>
      </c>
      <c r="T1" s="30" t="s">
        <v>70</v>
      </c>
      <c r="U1" s="32" t="s">
        <v>54</v>
      </c>
      <c r="V1" s="31" t="s">
        <v>71</v>
      </c>
    </row>
    <row r="2" spans="1:22" s="108" customFormat="1" ht="78.75" customHeight="1" thickBot="1">
      <c r="A2" s="118" t="s">
        <v>74</v>
      </c>
      <c r="B2" s="119"/>
      <c r="C2" s="119"/>
      <c r="D2" s="119"/>
      <c r="E2" s="119"/>
      <c r="F2" s="119"/>
      <c r="G2" s="119"/>
      <c r="H2" s="120"/>
      <c r="I2" s="114" t="s">
        <v>56</v>
      </c>
      <c r="J2" s="113" t="s">
        <v>58</v>
      </c>
      <c r="K2" s="113" t="s">
        <v>62</v>
      </c>
      <c r="L2" s="113" t="s">
        <v>59</v>
      </c>
      <c r="M2" s="113" t="s">
        <v>60</v>
      </c>
      <c r="N2" s="113" t="s">
        <v>61</v>
      </c>
      <c r="O2" s="113" t="s">
        <v>63</v>
      </c>
      <c r="P2" s="113" t="s">
        <v>64</v>
      </c>
      <c r="Q2" s="115"/>
      <c r="R2" s="116"/>
      <c r="S2" s="107" t="s">
        <v>65</v>
      </c>
      <c r="T2" s="117" t="s">
        <v>66</v>
      </c>
      <c r="U2" s="109" t="s">
        <v>67</v>
      </c>
      <c r="V2" s="107" t="s">
        <v>68</v>
      </c>
    </row>
    <row r="3" spans="1:22" ht="37.5" customHeight="1" thickBot="1">
      <c r="A3" s="110"/>
      <c r="B3" s="73" t="s">
        <v>39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36"/>
      <c r="T3" s="111"/>
      <c r="U3" s="112"/>
      <c r="V3" s="112"/>
    </row>
    <row r="4" spans="1:22" ht="16.5" thickBot="1">
      <c r="A4" s="140" t="s">
        <v>8</v>
      </c>
      <c r="B4" s="146">
        <v>174</v>
      </c>
      <c r="C4" s="147">
        <v>1.596</v>
      </c>
      <c r="D4" s="146" t="s">
        <v>7</v>
      </c>
      <c r="E4" s="146" t="s">
        <v>7</v>
      </c>
      <c r="F4" s="146" t="s">
        <v>7</v>
      </c>
      <c r="G4" s="147">
        <v>60.65</v>
      </c>
      <c r="H4" s="148">
        <v>52.71</v>
      </c>
      <c r="I4" s="101" t="s">
        <v>7</v>
      </c>
      <c r="J4" s="11">
        <v>60.65</v>
      </c>
      <c r="K4" s="11">
        <f>G4-H4</f>
        <v>7.939999999999998</v>
      </c>
      <c r="L4" s="94" t="s">
        <v>7</v>
      </c>
      <c r="M4" s="11">
        <f>J4*C4</f>
        <v>96.7974</v>
      </c>
      <c r="N4" s="11">
        <f>C4*K4</f>
        <v>12.672239999999997</v>
      </c>
      <c r="O4" s="96">
        <f>N4+N5</f>
        <v>6.603119999999996</v>
      </c>
      <c r="P4" s="87">
        <f>SUM(N4:N5)/SUM(C4:C5)</f>
        <v>2.934719999999998</v>
      </c>
      <c r="Q4" s="76" t="s">
        <v>47</v>
      </c>
      <c r="R4" s="77"/>
      <c r="S4" s="47"/>
      <c r="T4" s="50"/>
      <c r="U4" s="63"/>
      <c r="V4" s="63"/>
    </row>
    <row r="5" spans="1:22" ht="16.5" thickBot="1">
      <c r="A5" s="141" t="s">
        <v>9</v>
      </c>
      <c r="B5" s="149"/>
      <c r="C5" s="150">
        <v>0.654</v>
      </c>
      <c r="D5" s="149"/>
      <c r="E5" s="149"/>
      <c r="F5" s="149"/>
      <c r="G5" s="150">
        <v>43.43</v>
      </c>
      <c r="H5" s="151"/>
      <c r="I5" s="102"/>
      <c r="J5" s="12">
        <v>43.43</v>
      </c>
      <c r="K5" s="12">
        <f>J5-H4</f>
        <v>-9.280000000000001</v>
      </c>
      <c r="L5" s="95"/>
      <c r="M5" s="12">
        <f>J5*C5</f>
        <v>28.40322</v>
      </c>
      <c r="N5" s="12">
        <f>C5*K5</f>
        <v>-6.069120000000001</v>
      </c>
      <c r="O5" s="97"/>
      <c r="P5" s="88"/>
      <c r="Q5" s="78"/>
      <c r="R5" s="79"/>
      <c r="S5" s="48"/>
      <c r="T5" s="50"/>
      <c r="U5" s="63"/>
      <c r="V5" s="63"/>
    </row>
    <row r="6" spans="1:22" ht="38.25" customHeight="1" thickBot="1">
      <c r="A6" s="80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34"/>
      <c r="T6" s="67"/>
      <c r="U6" s="68"/>
      <c r="V6" s="68"/>
    </row>
    <row r="7" spans="1:22" ht="12.75" customHeight="1" thickBot="1">
      <c r="A7" s="132" t="s">
        <v>37</v>
      </c>
      <c r="B7" s="126">
        <v>6</v>
      </c>
      <c r="C7" s="127">
        <v>0.05</v>
      </c>
      <c r="D7" s="126" t="s">
        <v>7</v>
      </c>
      <c r="E7" s="126" t="s">
        <v>7</v>
      </c>
      <c r="F7" s="126" t="s">
        <v>7</v>
      </c>
      <c r="G7" s="127">
        <v>60.65</v>
      </c>
      <c r="H7" s="103">
        <v>60.21</v>
      </c>
      <c r="I7" s="103" t="s">
        <v>7</v>
      </c>
      <c r="J7" s="4">
        <v>60.65</v>
      </c>
      <c r="K7" s="9">
        <f>J7-H7</f>
        <v>0.4399999999999977</v>
      </c>
      <c r="L7" s="89" t="s">
        <v>7</v>
      </c>
      <c r="M7" s="9">
        <f>C7*J7</f>
        <v>3.0325</v>
      </c>
      <c r="N7" s="16">
        <f>C7*K7</f>
        <v>0.021999999999999888</v>
      </c>
      <c r="O7" s="89">
        <f>N7+N8</f>
        <v>-0.28004000000000007</v>
      </c>
      <c r="P7" s="92">
        <f>SUM(N7:N8)/SUM(C7:C8)</f>
        <v>-4.118235294117648</v>
      </c>
      <c r="Q7" s="58">
        <f>SUM(P7:P9)/P4</f>
        <v>8.79041423185437</v>
      </c>
      <c r="R7" s="86">
        <f>(P9-P4)*(C9+C10)</f>
        <v>34.34671084</v>
      </c>
      <c r="S7" s="59">
        <f>H9*SUM(C7:C10)</f>
        <v>80.74161000000001</v>
      </c>
      <c r="T7" s="65">
        <f>H9*0.634</f>
        <v>38.173140000000004</v>
      </c>
      <c r="U7" s="66">
        <f>T7*(SUM(C7:C10))</f>
        <v>51.19018074000001</v>
      </c>
      <c r="V7" s="65">
        <f>(H9*SUM(C7:C10))-U7</f>
        <v>29.55142926</v>
      </c>
    </row>
    <row r="8" spans="1:22" ht="13.5" customHeight="1" thickBot="1">
      <c r="A8" s="133" t="s">
        <v>38</v>
      </c>
      <c r="B8" s="129"/>
      <c r="C8" s="130">
        <v>0.018</v>
      </c>
      <c r="D8" s="129"/>
      <c r="E8" s="129"/>
      <c r="F8" s="129"/>
      <c r="G8" s="130">
        <v>43.43</v>
      </c>
      <c r="H8" s="91"/>
      <c r="I8" s="91"/>
      <c r="J8" s="5">
        <v>43.43</v>
      </c>
      <c r="K8" s="10">
        <f>J8-H7</f>
        <v>-16.78</v>
      </c>
      <c r="L8" s="91"/>
      <c r="M8" s="10">
        <f>C8*J8</f>
        <v>0.78174</v>
      </c>
      <c r="N8" s="15">
        <f>C8*K8</f>
        <v>-0.30204</v>
      </c>
      <c r="O8" s="90"/>
      <c r="P8" s="93"/>
      <c r="Q8" s="105"/>
      <c r="R8" s="86"/>
      <c r="S8" s="64"/>
      <c r="T8" s="65"/>
      <c r="U8" s="66"/>
      <c r="V8" s="65"/>
    </row>
    <row r="9" spans="1:22" ht="12.75" customHeight="1" thickBot="1">
      <c r="A9" s="132" t="s">
        <v>35</v>
      </c>
      <c r="B9" s="126">
        <v>113</v>
      </c>
      <c r="C9" s="127">
        <v>0.935</v>
      </c>
      <c r="D9" s="126">
        <v>50</v>
      </c>
      <c r="E9" s="126">
        <v>1.18</v>
      </c>
      <c r="F9" s="126">
        <v>13</v>
      </c>
      <c r="G9" s="127">
        <v>60.65</v>
      </c>
      <c r="H9" s="103">
        <v>60.21</v>
      </c>
      <c r="I9" s="89">
        <f>((H9*E9)+F9)-D9</f>
        <v>34.047799999999995</v>
      </c>
      <c r="J9" s="9">
        <f>I9+G9</f>
        <v>94.6978</v>
      </c>
      <c r="K9" s="9">
        <f>J9-H9</f>
        <v>34.4878</v>
      </c>
      <c r="L9" s="89">
        <f>I9*(C9+C10)</f>
        <v>43.3428494</v>
      </c>
      <c r="M9" s="9">
        <f>J9*C9</f>
        <v>88.542443</v>
      </c>
      <c r="N9" s="16">
        <f>K9*C9</f>
        <v>32.246093</v>
      </c>
      <c r="O9" s="89">
        <f>N9+N10</f>
        <v>38.0826094</v>
      </c>
      <c r="P9" s="89">
        <f>SUM(N9:N10)/SUM(C9:C10)</f>
        <v>29.915639748625292</v>
      </c>
      <c r="Q9" s="105"/>
      <c r="R9" s="86"/>
      <c r="S9" s="64"/>
      <c r="T9" s="65"/>
      <c r="U9" s="66"/>
      <c r="V9" s="65"/>
    </row>
    <row r="10" spans="1:22" ht="13.5" customHeight="1" thickBot="1">
      <c r="A10" s="133" t="s">
        <v>36</v>
      </c>
      <c r="B10" s="129"/>
      <c r="C10" s="130">
        <v>0.338</v>
      </c>
      <c r="D10" s="129"/>
      <c r="E10" s="129"/>
      <c r="F10" s="129"/>
      <c r="G10" s="130">
        <v>43.43</v>
      </c>
      <c r="H10" s="91"/>
      <c r="I10" s="90"/>
      <c r="J10" s="10">
        <f>I9+G10</f>
        <v>77.4778</v>
      </c>
      <c r="K10" s="10">
        <f>J10-H9</f>
        <v>17.2678</v>
      </c>
      <c r="L10" s="91"/>
      <c r="M10" s="10">
        <f>J10*C10</f>
        <v>26.187496400000004</v>
      </c>
      <c r="N10" s="15">
        <f>K10*C10</f>
        <v>5.836516400000001</v>
      </c>
      <c r="O10" s="90"/>
      <c r="P10" s="90"/>
      <c r="Q10" s="106"/>
      <c r="R10" s="86"/>
      <c r="S10" s="60"/>
      <c r="T10" s="65"/>
      <c r="U10" s="66"/>
      <c r="V10" s="65"/>
    </row>
    <row r="11" spans="1:22" ht="33.75" customHeight="1" thickBot="1">
      <c r="A11" s="6"/>
      <c r="B11" s="82" t="s">
        <v>41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75"/>
      <c r="S11" s="35"/>
      <c r="T11" s="71"/>
      <c r="U11" s="72"/>
      <c r="V11" s="72"/>
    </row>
    <row r="12" spans="1:22" ht="16.5" customHeight="1" thickBot="1">
      <c r="A12" s="134" t="s">
        <v>15</v>
      </c>
      <c r="B12" s="121">
        <v>29</v>
      </c>
      <c r="C12" s="122">
        <v>0.336</v>
      </c>
      <c r="D12" s="121">
        <v>50</v>
      </c>
      <c r="E12" s="121">
        <v>1.18</v>
      </c>
      <c r="F12" s="121">
        <v>13</v>
      </c>
      <c r="G12" s="122">
        <v>60.65</v>
      </c>
      <c r="H12" s="99">
        <v>83.93</v>
      </c>
      <c r="I12" s="56">
        <f>((H12*E12)+F12)-D12</f>
        <v>62.037400000000005</v>
      </c>
      <c r="J12" s="7">
        <f>G12+I12</f>
        <v>122.6874</v>
      </c>
      <c r="K12" s="7">
        <f>J12-H12</f>
        <v>38.75739999999999</v>
      </c>
      <c r="L12" s="56">
        <f>I12*(C12+C13)</f>
        <v>31.949261000000003</v>
      </c>
      <c r="M12" s="7">
        <f>J12*C12</f>
        <v>41.222966400000004</v>
      </c>
      <c r="N12" s="13">
        <f>K12*C12</f>
        <v>13.022486399999998</v>
      </c>
      <c r="O12" s="56">
        <f>N12+N13</f>
        <v>16.877680999999995</v>
      </c>
      <c r="P12" s="56">
        <f>SUM(N12:N13)/SUM(C12:C13)</f>
        <v>32.772196116504844</v>
      </c>
      <c r="Q12" s="58">
        <f>P12/P4</f>
        <v>11.167060611065065</v>
      </c>
      <c r="R12" s="55">
        <f>(P12-P4)*(C12+C13)</f>
        <v>15.366300199999996</v>
      </c>
      <c r="S12" s="59">
        <f>H12*(C12+C13)</f>
        <v>43.22395</v>
      </c>
      <c r="T12" s="65">
        <f>H12*0.634</f>
        <v>53.21162</v>
      </c>
      <c r="U12" s="66">
        <f>T12*(C12+C13)</f>
        <v>27.4039843</v>
      </c>
      <c r="V12" s="65">
        <f>(H12*(C12+C13))-U12</f>
        <v>15.819965700000001</v>
      </c>
    </row>
    <row r="13" spans="1:22" ht="14.25" customHeight="1" thickBot="1">
      <c r="A13" s="135" t="s">
        <v>16</v>
      </c>
      <c r="B13" s="123"/>
      <c r="C13" s="124">
        <v>0.179</v>
      </c>
      <c r="D13" s="123"/>
      <c r="E13" s="123"/>
      <c r="F13" s="123"/>
      <c r="G13" s="124">
        <v>43.43</v>
      </c>
      <c r="H13" s="100"/>
      <c r="I13" s="57"/>
      <c r="J13" s="8">
        <f>G13+I12</f>
        <v>105.4674</v>
      </c>
      <c r="K13" s="8">
        <f>J13-H12</f>
        <v>21.53739999999999</v>
      </c>
      <c r="L13" s="98"/>
      <c r="M13" s="8">
        <f>J13*C13</f>
        <v>18.8786646</v>
      </c>
      <c r="N13" s="14">
        <f>K13*C13</f>
        <v>3.855194599999998</v>
      </c>
      <c r="O13" s="57"/>
      <c r="P13" s="57"/>
      <c r="Q13" s="49"/>
      <c r="R13" s="55"/>
      <c r="S13" s="60"/>
      <c r="T13" s="65"/>
      <c r="U13" s="66"/>
      <c r="V13" s="65"/>
    </row>
    <row r="14" spans="1:22" ht="12.75" customHeight="1" thickBot="1">
      <c r="A14" s="136" t="s">
        <v>11</v>
      </c>
      <c r="B14" s="121">
        <v>31</v>
      </c>
      <c r="C14" s="122">
        <v>0.359</v>
      </c>
      <c r="D14" s="121">
        <v>50</v>
      </c>
      <c r="E14" s="121">
        <v>1.18</v>
      </c>
      <c r="F14" s="121">
        <v>13</v>
      </c>
      <c r="G14" s="122">
        <v>60.65</v>
      </c>
      <c r="H14" s="99">
        <v>101.86</v>
      </c>
      <c r="I14" s="56">
        <f>((H14*E14)+F14)-D14</f>
        <v>83.19479999999999</v>
      </c>
      <c r="J14" s="7">
        <f>G14+I14</f>
        <v>143.8448</v>
      </c>
      <c r="K14" s="7">
        <f>J14-H14</f>
        <v>41.98479999999999</v>
      </c>
      <c r="L14" s="56">
        <f>I14*(C14+C15)</f>
        <v>45.75714</v>
      </c>
      <c r="M14" s="7">
        <f aca="true" t="shared" si="0" ref="M14:M32">J14*C14</f>
        <v>51.64028319999999</v>
      </c>
      <c r="N14" s="13">
        <f aca="true" t="shared" si="1" ref="N14:N29">K14*C14</f>
        <v>15.072543199999997</v>
      </c>
      <c r="O14" s="56">
        <f>N14+N15</f>
        <v>19.802619999999997</v>
      </c>
      <c r="P14" s="56">
        <f>SUM(N14:N15)/SUM(C14:C15)</f>
        <v>36.00476363636363</v>
      </c>
      <c r="Q14" s="58">
        <f>P14/P4</f>
        <v>12.268551560749799</v>
      </c>
      <c r="R14" s="55">
        <f>(P14-P4)*(C14+C15)</f>
        <v>18.188523999999997</v>
      </c>
      <c r="S14" s="59">
        <f>H14*(C14+C15)</f>
        <v>56.023</v>
      </c>
      <c r="T14" s="65">
        <f>H14*0.634</f>
        <v>64.57924</v>
      </c>
      <c r="U14" s="66">
        <f>T14*(C14+C15)</f>
        <v>35.518582</v>
      </c>
      <c r="V14" s="65">
        <f>(H14*(C14+C15))-U14</f>
        <v>20.504418</v>
      </c>
    </row>
    <row r="15" spans="1:22" ht="13.5" customHeight="1" thickBot="1">
      <c r="A15" s="137" t="s">
        <v>12</v>
      </c>
      <c r="B15" s="123"/>
      <c r="C15" s="125">
        <v>0.191</v>
      </c>
      <c r="D15" s="123"/>
      <c r="E15" s="123"/>
      <c r="F15" s="123"/>
      <c r="G15" s="124">
        <v>43.43</v>
      </c>
      <c r="H15" s="100"/>
      <c r="I15" s="57"/>
      <c r="J15" s="8">
        <f>G15+I14</f>
        <v>126.6248</v>
      </c>
      <c r="K15" s="8">
        <f>J15-H14</f>
        <v>24.764799999999994</v>
      </c>
      <c r="L15" s="98"/>
      <c r="M15" s="8">
        <f t="shared" si="0"/>
        <v>24.185336799999998</v>
      </c>
      <c r="N15" s="14">
        <f t="shared" si="1"/>
        <v>4.730076799999999</v>
      </c>
      <c r="O15" s="57"/>
      <c r="P15" s="57"/>
      <c r="Q15" s="49"/>
      <c r="R15" s="55"/>
      <c r="S15" s="60"/>
      <c r="T15" s="65"/>
      <c r="U15" s="66"/>
      <c r="V15" s="65"/>
    </row>
    <row r="16" spans="1:22" ht="12.75" customHeight="1" thickBot="1">
      <c r="A16" s="134" t="s">
        <v>13</v>
      </c>
      <c r="B16" s="121">
        <v>31</v>
      </c>
      <c r="C16" s="122">
        <v>0.359</v>
      </c>
      <c r="D16" s="121">
        <v>50</v>
      </c>
      <c r="E16" s="121">
        <v>1.18</v>
      </c>
      <c r="F16" s="121">
        <v>13</v>
      </c>
      <c r="G16" s="122">
        <v>60.65</v>
      </c>
      <c r="H16" s="99">
        <v>121.72</v>
      </c>
      <c r="I16" s="56">
        <f>((H16*E16)+F16)-D16</f>
        <v>106.62959999999998</v>
      </c>
      <c r="J16" s="7">
        <f>G16+I16</f>
        <v>167.2796</v>
      </c>
      <c r="K16" s="7">
        <f>J16-H16</f>
        <v>45.55959999999999</v>
      </c>
      <c r="L16" s="56">
        <f>I16*(C16+C17)</f>
        <v>58.64628</v>
      </c>
      <c r="M16" s="7">
        <f t="shared" si="0"/>
        <v>60.05337639999999</v>
      </c>
      <c r="N16" s="13">
        <f t="shared" si="1"/>
        <v>16.355896399999995</v>
      </c>
      <c r="O16" s="56">
        <f>N16+N17</f>
        <v>21.768759999999993</v>
      </c>
      <c r="P16" s="56">
        <f>SUM(N16:N17)/SUM(C16:C17)</f>
        <v>39.57956363636362</v>
      </c>
      <c r="Q16" s="58">
        <f>P16/P4</f>
        <v>13.486657547010838</v>
      </c>
      <c r="R16" s="55">
        <f>(P16-P4)*(C16+C17)</f>
        <v>20.154663999999997</v>
      </c>
      <c r="S16" s="59">
        <f>H16*(C16+C17)</f>
        <v>66.946</v>
      </c>
      <c r="T16" s="65">
        <f>H16*0.634</f>
        <v>77.17048</v>
      </c>
      <c r="U16" s="66">
        <f>T16*(C16+C17)</f>
        <v>42.443764</v>
      </c>
      <c r="V16" s="65">
        <f>(H16*(C16+C17))-U16</f>
        <v>24.502235999999996</v>
      </c>
    </row>
    <row r="17" spans="1:22" ht="13.5" customHeight="1" thickBot="1">
      <c r="A17" s="135" t="s">
        <v>14</v>
      </c>
      <c r="B17" s="123"/>
      <c r="C17" s="125">
        <v>0.191</v>
      </c>
      <c r="D17" s="123"/>
      <c r="E17" s="123"/>
      <c r="F17" s="123"/>
      <c r="G17" s="124">
        <v>43.43</v>
      </c>
      <c r="H17" s="100"/>
      <c r="I17" s="57"/>
      <c r="J17" s="8">
        <f>G17+I16</f>
        <v>150.0596</v>
      </c>
      <c r="K17" s="8">
        <f>J17-H16</f>
        <v>28.33959999999999</v>
      </c>
      <c r="L17" s="98"/>
      <c r="M17" s="8">
        <f t="shared" si="0"/>
        <v>28.661383599999997</v>
      </c>
      <c r="N17" s="14">
        <f t="shared" si="1"/>
        <v>5.412863599999998</v>
      </c>
      <c r="O17" s="57"/>
      <c r="P17" s="57"/>
      <c r="Q17" s="49"/>
      <c r="R17" s="55"/>
      <c r="S17" s="60"/>
      <c r="T17" s="65"/>
      <c r="U17" s="66"/>
      <c r="V17" s="65"/>
    </row>
    <row r="18" spans="1:22" ht="12.75" customHeight="1" thickBot="1">
      <c r="A18" s="134" t="s">
        <v>17</v>
      </c>
      <c r="B18" s="121">
        <v>30</v>
      </c>
      <c r="C18" s="122">
        <v>0.347</v>
      </c>
      <c r="D18" s="121">
        <v>50</v>
      </c>
      <c r="E18" s="121">
        <v>1.18</v>
      </c>
      <c r="F18" s="121">
        <v>13</v>
      </c>
      <c r="G18" s="122">
        <v>60.65</v>
      </c>
      <c r="H18" s="99">
        <v>134.73</v>
      </c>
      <c r="I18" s="56">
        <f>((H18*E18)+F18)-D18</f>
        <v>121.98139999999998</v>
      </c>
      <c r="J18" s="7">
        <f>G18+I18</f>
        <v>182.63139999999999</v>
      </c>
      <c r="K18" s="7">
        <f>J18-H18</f>
        <v>47.901399999999995</v>
      </c>
      <c r="L18" s="56">
        <f>I18*(C18+C19)</f>
        <v>64.8941048</v>
      </c>
      <c r="M18" s="7">
        <f t="shared" si="0"/>
        <v>63.37309579999999</v>
      </c>
      <c r="N18" s="13">
        <f t="shared" si="1"/>
        <v>16.621785799999998</v>
      </c>
      <c r="O18" s="56">
        <f>N18+N19</f>
        <v>22.297844799999996</v>
      </c>
      <c r="P18" s="56">
        <f>SUM(N18:N19)/SUM(C18:C19)</f>
        <v>41.91324210526315</v>
      </c>
      <c r="Q18" s="58">
        <f>P18/P4</f>
        <v>14.281853841341993</v>
      </c>
      <c r="R18" s="55">
        <f>(P18-P4)*(C18+C19)</f>
        <v>20.73657376</v>
      </c>
      <c r="S18" s="59">
        <f>H18*(C18+C19)</f>
        <v>71.67636</v>
      </c>
      <c r="T18" s="65">
        <f>H18*0.634</f>
        <v>85.41882</v>
      </c>
      <c r="U18" s="66">
        <f>T18*(C18+C19)</f>
        <v>45.44281224</v>
      </c>
      <c r="V18" s="65">
        <f>(H18*(C18+C19))-U18</f>
        <v>26.23354776</v>
      </c>
    </row>
    <row r="19" spans="1:22" ht="13.5" customHeight="1" thickBot="1">
      <c r="A19" s="135" t="s">
        <v>18</v>
      </c>
      <c r="B19" s="123"/>
      <c r="C19" s="124">
        <v>0.185</v>
      </c>
      <c r="D19" s="123"/>
      <c r="E19" s="123"/>
      <c r="F19" s="123"/>
      <c r="G19" s="124">
        <v>43.43</v>
      </c>
      <c r="H19" s="100"/>
      <c r="I19" s="57"/>
      <c r="J19" s="8">
        <f>G19+I18</f>
        <v>165.4114</v>
      </c>
      <c r="K19" s="8">
        <f>J19-H18</f>
        <v>30.681399999999996</v>
      </c>
      <c r="L19" s="98"/>
      <c r="M19" s="8">
        <f t="shared" si="0"/>
        <v>30.601108999999997</v>
      </c>
      <c r="N19" s="14">
        <f t="shared" si="1"/>
        <v>5.6760589999999995</v>
      </c>
      <c r="O19" s="57"/>
      <c r="P19" s="57"/>
      <c r="Q19" s="49"/>
      <c r="R19" s="55"/>
      <c r="S19" s="60"/>
      <c r="T19" s="65"/>
      <c r="U19" s="66"/>
      <c r="V19" s="65"/>
    </row>
    <row r="20" spans="1:22" ht="12.75" customHeight="1" thickBot="1">
      <c r="A20" s="134" t="s">
        <v>19</v>
      </c>
      <c r="B20" s="121">
        <v>31</v>
      </c>
      <c r="C20" s="122">
        <v>0.359</v>
      </c>
      <c r="D20" s="121">
        <v>50</v>
      </c>
      <c r="E20" s="121">
        <v>1.18</v>
      </c>
      <c r="F20" s="121">
        <v>13</v>
      </c>
      <c r="G20" s="122">
        <v>60.65</v>
      </c>
      <c r="H20" s="99">
        <v>198.35</v>
      </c>
      <c r="I20" s="56">
        <f>((H20*E20)+F20)-D20</f>
        <v>197.05299999999997</v>
      </c>
      <c r="J20" s="7">
        <f>G20+I20</f>
        <v>257.703</v>
      </c>
      <c r="K20" s="7">
        <f>J20-H20</f>
        <v>59.35299999999998</v>
      </c>
      <c r="L20" s="56">
        <f>I20*(C20+C21)</f>
        <v>108.37915</v>
      </c>
      <c r="M20" s="7">
        <f t="shared" si="0"/>
        <v>92.51537699999999</v>
      </c>
      <c r="N20" s="13">
        <f t="shared" si="1"/>
        <v>21.307726999999993</v>
      </c>
      <c r="O20" s="56">
        <f>N20+N21</f>
        <v>29.35512999999999</v>
      </c>
      <c r="P20" s="56">
        <f>SUM(N20:N21)/SUM(C20:C21)</f>
        <v>53.37296363636361</v>
      </c>
      <c r="Q20" s="58">
        <f>P20/P4</f>
        <v>18.186731148581003</v>
      </c>
      <c r="R20" s="55">
        <f>(P20-P4)*(C20+C21)</f>
        <v>27.74103399999999</v>
      </c>
      <c r="S20" s="59">
        <f>H20*(C20+C21)</f>
        <v>109.0925</v>
      </c>
      <c r="T20" s="65">
        <f>H20*0.634</f>
        <v>125.7539</v>
      </c>
      <c r="U20" s="66">
        <f>T20*(C20+C21)</f>
        <v>69.16464500000001</v>
      </c>
      <c r="V20" s="65">
        <f>(H20*(C20+C21))-U20</f>
        <v>39.927854999999994</v>
      </c>
    </row>
    <row r="21" spans="1:22" ht="13.5" customHeight="1" thickBot="1">
      <c r="A21" s="135" t="s">
        <v>22</v>
      </c>
      <c r="B21" s="123"/>
      <c r="C21" s="125">
        <v>0.191</v>
      </c>
      <c r="D21" s="123"/>
      <c r="E21" s="123"/>
      <c r="F21" s="123"/>
      <c r="G21" s="124">
        <v>43.43</v>
      </c>
      <c r="H21" s="100"/>
      <c r="I21" s="57"/>
      <c r="J21" s="8">
        <f>G21+I20</f>
        <v>240.48299999999998</v>
      </c>
      <c r="K21" s="8">
        <f>J21-H20</f>
        <v>42.13299999999998</v>
      </c>
      <c r="L21" s="98"/>
      <c r="M21" s="8">
        <f t="shared" si="0"/>
        <v>45.932252999999996</v>
      </c>
      <c r="N21" s="14">
        <f t="shared" si="1"/>
        <v>8.047402999999997</v>
      </c>
      <c r="O21" s="57"/>
      <c r="P21" s="57"/>
      <c r="Q21" s="49"/>
      <c r="R21" s="55"/>
      <c r="S21" s="60"/>
      <c r="T21" s="65"/>
      <c r="U21" s="66"/>
      <c r="V21" s="65"/>
    </row>
    <row r="22" spans="1:22" ht="12.75" customHeight="1" thickBot="1">
      <c r="A22" s="134" t="s">
        <v>20</v>
      </c>
      <c r="B22" s="121">
        <v>30</v>
      </c>
      <c r="C22" s="122">
        <v>0.347</v>
      </c>
      <c r="D22" s="121">
        <v>50</v>
      </c>
      <c r="E22" s="121">
        <v>1.18</v>
      </c>
      <c r="F22" s="121">
        <v>13</v>
      </c>
      <c r="G22" s="122">
        <v>60.65</v>
      </c>
      <c r="H22" s="99">
        <v>228.87</v>
      </c>
      <c r="I22" s="56">
        <f>((H22*E22)+F22)-D22</f>
        <v>233.0666</v>
      </c>
      <c r="J22" s="7">
        <f>G22+I22</f>
        <v>293.71659999999997</v>
      </c>
      <c r="K22" s="7">
        <f>J22-H22</f>
        <v>64.84659999999997</v>
      </c>
      <c r="L22" s="56">
        <f>I22*(C22+C23)</f>
        <v>123.99143120000001</v>
      </c>
      <c r="M22" s="7">
        <f t="shared" si="0"/>
        <v>101.91966019999998</v>
      </c>
      <c r="N22" s="13">
        <f t="shared" si="1"/>
        <v>22.501770199999985</v>
      </c>
      <c r="O22" s="56">
        <f>N22+N23</f>
        <v>31.312691199999982</v>
      </c>
      <c r="P22" s="56">
        <f>SUM(N22:N23)/SUM(C22:C23)</f>
        <v>58.85844210526312</v>
      </c>
      <c r="Q22" s="58">
        <f>P22/P4</f>
        <v>20.05589702092982</v>
      </c>
      <c r="R22" s="55">
        <f>(P22-P4)*(C22+C23)</f>
        <v>29.751420159999984</v>
      </c>
      <c r="S22" s="59">
        <f>H22*(C22+C23)</f>
        <v>121.75884</v>
      </c>
      <c r="T22" s="65">
        <f>H22*0.634</f>
        <v>145.10358</v>
      </c>
      <c r="U22" s="66">
        <f>T22*(C22+C23)</f>
        <v>77.19510456</v>
      </c>
      <c r="V22" s="65">
        <f>(H22*(C22+C23))-U22</f>
        <v>44.56373544</v>
      </c>
    </row>
    <row r="23" spans="1:22" ht="13.5" customHeight="1" thickBot="1">
      <c r="A23" s="135" t="s">
        <v>21</v>
      </c>
      <c r="B23" s="123"/>
      <c r="C23" s="124">
        <v>0.185</v>
      </c>
      <c r="D23" s="123"/>
      <c r="E23" s="123"/>
      <c r="F23" s="123"/>
      <c r="G23" s="124">
        <v>43.43</v>
      </c>
      <c r="H23" s="100"/>
      <c r="I23" s="57"/>
      <c r="J23" s="8">
        <f>G23+I22</f>
        <v>276.4966</v>
      </c>
      <c r="K23" s="8">
        <f>J23-H22</f>
        <v>47.626599999999996</v>
      </c>
      <c r="L23" s="98"/>
      <c r="M23" s="8">
        <f t="shared" si="0"/>
        <v>51.151871</v>
      </c>
      <c r="N23" s="14">
        <f t="shared" si="1"/>
        <v>8.810920999999999</v>
      </c>
      <c r="O23" s="57"/>
      <c r="P23" s="57"/>
      <c r="Q23" s="49"/>
      <c r="R23" s="55"/>
      <c r="S23" s="60"/>
      <c r="T23" s="65"/>
      <c r="U23" s="66"/>
      <c r="V23" s="65"/>
    </row>
    <row r="24" spans="1:22" ht="12.75" customHeight="1" thickBot="1">
      <c r="A24" s="134" t="s">
        <v>23</v>
      </c>
      <c r="B24" s="121">
        <v>31</v>
      </c>
      <c r="C24" s="122">
        <v>0.359</v>
      </c>
      <c r="D24" s="121">
        <v>50</v>
      </c>
      <c r="E24" s="121">
        <v>1.18</v>
      </c>
      <c r="F24" s="121">
        <v>13</v>
      </c>
      <c r="G24" s="122">
        <v>60.65</v>
      </c>
      <c r="H24" s="99">
        <v>235.38</v>
      </c>
      <c r="I24" s="56">
        <f>((H24*E24)+F24)-D24</f>
        <v>240.7484</v>
      </c>
      <c r="J24" s="7">
        <f>G24+I24</f>
        <v>301.3984</v>
      </c>
      <c r="K24" s="7">
        <f>J24-H24</f>
        <v>66.01839999999999</v>
      </c>
      <c r="L24" s="56">
        <f>I24*(C24+C25)</f>
        <v>132.41162</v>
      </c>
      <c r="M24" s="7">
        <f t="shared" si="0"/>
        <v>108.20202559999998</v>
      </c>
      <c r="N24" s="13">
        <f t="shared" si="1"/>
        <v>23.700605599999992</v>
      </c>
      <c r="O24" s="56">
        <f>N24+N25</f>
        <v>33.0211</v>
      </c>
      <c r="P24" s="56">
        <f>SUM(N24:N25)/SUM(C24:C25)</f>
        <v>60.03836363636363</v>
      </c>
      <c r="Q24" s="58">
        <f>P24/P4</f>
        <v>20.45795293464578</v>
      </c>
      <c r="R24" s="55">
        <f>(P24-P4)*(C24+C25)</f>
        <v>31.407003999999997</v>
      </c>
      <c r="S24" s="59">
        <f>H24*(C24+C25)</f>
        <v>129.459</v>
      </c>
      <c r="T24" s="65">
        <f>H24*0.634</f>
        <v>149.23092</v>
      </c>
      <c r="U24" s="66">
        <f>T24*(C24+C25)</f>
        <v>82.07700600000001</v>
      </c>
      <c r="V24" s="65">
        <f>(H24*(C24+C25))-U24</f>
        <v>47.38199399999999</v>
      </c>
    </row>
    <row r="25" spans="1:22" ht="13.5" customHeight="1" thickBot="1">
      <c r="A25" s="135" t="s">
        <v>24</v>
      </c>
      <c r="B25" s="123"/>
      <c r="C25" s="125">
        <v>0.191</v>
      </c>
      <c r="D25" s="123"/>
      <c r="E25" s="123"/>
      <c r="F25" s="123"/>
      <c r="G25" s="124">
        <v>43.43</v>
      </c>
      <c r="H25" s="100"/>
      <c r="I25" s="57"/>
      <c r="J25" s="8">
        <f>G25+I24</f>
        <v>284.1784</v>
      </c>
      <c r="K25" s="8">
        <f>J25-H24</f>
        <v>48.798400000000015</v>
      </c>
      <c r="L25" s="98"/>
      <c r="M25" s="8">
        <f t="shared" si="0"/>
        <v>54.2780744</v>
      </c>
      <c r="N25" s="14">
        <f t="shared" si="1"/>
        <v>9.320494400000003</v>
      </c>
      <c r="O25" s="57"/>
      <c r="P25" s="57"/>
      <c r="Q25" s="49"/>
      <c r="R25" s="55"/>
      <c r="S25" s="60"/>
      <c r="T25" s="65"/>
      <c r="U25" s="66"/>
      <c r="V25" s="65"/>
    </row>
    <row r="26" spans="1:22" ht="12.75" customHeight="1" thickBot="1">
      <c r="A26" s="134" t="s">
        <v>25</v>
      </c>
      <c r="B26" s="121">
        <v>31</v>
      </c>
      <c r="C26" s="122">
        <v>0.359</v>
      </c>
      <c r="D26" s="121">
        <v>50</v>
      </c>
      <c r="E26" s="121">
        <v>1.18</v>
      </c>
      <c r="F26" s="121">
        <v>13</v>
      </c>
      <c r="G26" s="122">
        <v>60.65</v>
      </c>
      <c r="H26" s="99">
        <v>227.3</v>
      </c>
      <c r="I26" s="56">
        <f>((H26*E26)+F26)-D26</f>
        <v>231.214</v>
      </c>
      <c r="J26" s="7">
        <f>G26+I26</f>
        <v>291.864</v>
      </c>
      <c r="K26" s="7">
        <f>J26-H26</f>
        <v>64.56399999999996</v>
      </c>
      <c r="L26" s="56">
        <f>I26*(C26+C27)</f>
        <v>127.16770000000001</v>
      </c>
      <c r="M26" s="7">
        <f t="shared" si="0"/>
        <v>104.77917599999999</v>
      </c>
      <c r="N26" s="13">
        <f t="shared" si="1"/>
        <v>23.178475999999986</v>
      </c>
      <c r="O26" s="56">
        <f>N26+N27</f>
        <v>32.22117999999998</v>
      </c>
      <c r="P26" s="56">
        <f>SUM(N26:N27)/SUM(C26:C27)</f>
        <v>58.5839636363636</v>
      </c>
      <c r="Q26" s="58">
        <f>P26/P4</f>
        <v>19.96236902885578</v>
      </c>
      <c r="R26" s="55">
        <f>(P26-P4)*(C26+C27)</f>
        <v>30.607083999999983</v>
      </c>
      <c r="S26" s="59">
        <f>H26*(C26+C27)</f>
        <v>125.01500000000001</v>
      </c>
      <c r="T26" s="65">
        <f>H26*0.634</f>
        <v>144.1082</v>
      </c>
      <c r="U26" s="66">
        <f>T26*(C26+C27)</f>
        <v>79.25951</v>
      </c>
      <c r="V26" s="65">
        <f>(H26*(C26+C27))-U26</f>
        <v>45.75549000000001</v>
      </c>
    </row>
    <row r="27" spans="1:22" ht="13.5" customHeight="1" thickBot="1">
      <c r="A27" s="135" t="s">
        <v>26</v>
      </c>
      <c r="B27" s="123"/>
      <c r="C27" s="125">
        <v>0.191</v>
      </c>
      <c r="D27" s="123"/>
      <c r="E27" s="123"/>
      <c r="F27" s="123"/>
      <c r="G27" s="124">
        <v>43.43</v>
      </c>
      <c r="H27" s="100"/>
      <c r="I27" s="57"/>
      <c r="J27" s="8">
        <f>G27+I26</f>
        <v>274.644</v>
      </c>
      <c r="K27" s="8">
        <f>J27-H26</f>
        <v>47.343999999999994</v>
      </c>
      <c r="L27" s="98"/>
      <c r="M27" s="8">
        <f t="shared" si="0"/>
        <v>52.457004000000005</v>
      </c>
      <c r="N27" s="14">
        <f t="shared" si="1"/>
        <v>9.042703999999999</v>
      </c>
      <c r="O27" s="57"/>
      <c r="P27" s="57"/>
      <c r="Q27" s="49"/>
      <c r="R27" s="55"/>
      <c r="S27" s="60"/>
      <c r="T27" s="65"/>
      <c r="U27" s="66"/>
      <c r="V27" s="65"/>
    </row>
    <row r="28" spans="1:22" ht="12.75" customHeight="1" thickBot="1">
      <c r="A28" s="134" t="s">
        <v>27</v>
      </c>
      <c r="B28" s="121">
        <v>1</v>
      </c>
      <c r="C28" s="122">
        <v>0.012</v>
      </c>
      <c r="D28" s="121">
        <v>50</v>
      </c>
      <c r="E28" s="121">
        <v>1.18</v>
      </c>
      <c r="F28" s="121">
        <v>13</v>
      </c>
      <c r="G28" s="122">
        <v>60.65</v>
      </c>
      <c r="H28" s="99">
        <v>229.24</v>
      </c>
      <c r="I28" s="56">
        <f>((H28*E28)+F28)-D28</f>
        <v>233.5032</v>
      </c>
      <c r="J28" s="7">
        <f>G28+I28</f>
        <v>294.15319999999997</v>
      </c>
      <c r="K28" s="7">
        <f>J28-H28</f>
        <v>64.91319999999996</v>
      </c>
      <c r="L28" s="56">
        <f>I28*(C28+C29)</f>
        <v>4.2030576</v>
      </c>
      <c r="M28" s="7">
        <f t="shared" si="0"/>
        <v>3.5298383999999996</v>
      </c>
      <c r="N28" s="13">
        <f t="shared" si="1"/>
        <v>0.7789583999999995</v>
      </c>
      <c r="O28" s="56">
        <f>N28+N29</f>
        <v>1.0651175999999993</v>
      </c>
      <c r="P28" s="56">
        <f>SUM(N28:N29)/SUM(C28:C29)</f>
        <v>59.17319999999996</v>
      </c>
      <c r="Q28" s="58">
        <f>P28/P4</f>
        <v>20.16315014720314</v>
      </c>
      <c r="R28" s="55">
        <f>(P28-P4)*(C28+C29)</f>
        <v>1.0122926399999994</v>
      </c>
      <c r="S28" s="59">
        <f>H28*(C28+C29)</f>
        <v>4.126320000000001</v>
      </c>
      <c r="T28" s="65">
        <f>H28*0.634</f>
        <v>145.33816000000002</v>
      </c>
      <c r="U28" s="66">
        <f>T28*(C28+C29)</f>
        <v>2.6160868800000006</v>
      </c>
      <c r="V28" s="65">
        <f>(H28*(C28+C29))-U28</f>
        <v>1.51023312</v>
      </c>
    </row>
    <row r="29" spans="1:22" ht="13.5" customHeight="1" thickBot="1">
      <c r="A29" s="135" t="s">
        <v>28</v>
      </c>
      <c r="B29" s="123"/>
      <c r="C29" s="124">
        <v>0.006</v>
      </c>
      <c r="D29" s="123"/>
      <c r="E29" s="123"/>
      <c r="F29" s="123"/>
      <c r="G29" s="124">
        <v>43.43</v>
      </c>
      <c r="H29" s="100"/>
      <c r="I29" s="57"/>
      <c r="J29" s="8">
        <f>G29+I28</f>
        <v>276.9332</v>
      </c>
      <c r="K29" s="8">
        <f>J29-H28</f>
        <v>47.69319999999999</v>
      </c>
      <c r="L29" s="98"/>
      <c r="M29" s="8">
        <f t="shared" si="0"/>
        <v>1.6615992</v>
      </c>
      <c r="N29" s="14">
        <f t="shared" si="1"/>
        <v>0.28615919999999995</v>
      </c>
      <c r="O29" s="57"/>
      <c r="P29" s="57"/>
      <c r="Q29" s="49"/>
      <c r="R29" s="55"/>
      <c r="S29" s="60"/>
      <c r="T29" s="65"/>
      <c r="U29" s="66"/>
      <c r="V29" s="65"/>
    </row>
    <row r="30" spans="1:22" ht="34.5" customHeight="1" thickBot="1">
      <c r="A30" s="17"/>
      <c r="B30" s="84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75"/>
      <c r="S30" s="26"/>
      <c r="T30" s="69"/>
      <c r="U30" s="70"/>
      <c r="V30" s="70"/>
    </row>
    <row r="31" spans="1:22" ht="12.75" customHeight="1" thickBot="1">
      <c r="A31" s="132" t="s">
        <v>31</v>
      </c>
      <c r="B31" s="126">
        <v>28</v>
      </c>
      <c r="C31" s="127">
        <v>0.205</v>
      </c>
      <c r="D31" s="128">
        <v>50</v>
      </c>
      <c r="E31" s="128">
        <v>1.18</v>
      </c>
      <c r="F31" s="128">
        <v>13</v>
      </c>
      <c r="G31" s="127">
        <v>110.28</v>
      </c>
      <c r="H31" s="103">
        <v>212.65</v>
      </c>
      <c r="I31" s="89">
        <f>((H31*E31)+F31)-D31</f>
        <v>213.92700000000002</v>
      </c>
      <c r="J31" s="19">
        <f>G31+I31</f>
        <v>324.207</v>
      </c>
      <c r="K31" s="19">
        <f>J31-H31</f>
        <v>111.55699999999999</v>
      </c>
      <c r="L31" s="89">
        <f>I31*(C31+C32)</f>
        <v>63.108465</v>
      </c>
      <c r="M31" s="19">
        <f t="shared" si="0"/>
        <v>66.462435</v>
      </c>
      <c r="N31" s="20">
        <f>K31*C31</f>
        <v>22.869184999999995</v>
      </c>
      <c r="O31" s="89">
        <f>N31+N32</f>
        <v>30.094114999999995</v>
      </c>
      <c r="P31" s="89">
        <f>SUM(N31:N32)/SUM(C31:C32)</f>
        <v>102.01394915254237</v>
      </c>
      <c r="Q31" s="58">
        <f>P31/P4</f>
        <v>34.76105016919585</v>
      </c>
      <c r="R31" s="55">
        <f>(P31-P4)*(C31+C32)</f>
        <v>29.228372599999997</v>
      </c>
      <c r="S31" s="59">
        <f>H31*(C31+C32)</f>
        <v>62.73175</v>
      </c>
      <c r="T31" s="65">
        <f>H31*0.634</f>
        <v>134.8201</v>
      </c>
      <c r="U31" s="66">
        <f>T31*(C31+C32)</f>
        <v>39.7719295</v>
      </c>
      <c r="V31" s="65">
        <f>(H31*(C31+C32))-U31</f>
        <v>22.9598205</v>
      </c>
    </row>
    <row r="32" spans="1:22" ht="13.5" customHeight="1" thickBot="1">
      <c r="A32" s="133" t="s">
        <v>32</v>
      </c>
      <c r="B32" s="129"/>
      <c r="C32" s="130">
        <v>0.09</v>
      </c>
      <c r="D32" s="131"/>
      <c r="E32" s="131"/>
      <c r="F32" s="131"/>
      <c r="G32" s="130">
        <v>79</v>
      </c>
      <c r="H32" s="91"/>
      <c r="I32" s="90"/>
      <c r="J32" s="21">
        <f>G32+I31</f>
        <v>292.927</v>
      </c>
      <c r="K32" s="21">
        <f>J32-H31</f>
        <v>80.27700000000002</v>
      </c>
      <c r="L32" s="91"/>
      <c r="M32" s="21">
        <f t="shared" si="0"/>
        <v>26.36343</v>
      </c>
      <c r="N32" s="22">
        <f>K32*C32</f>
        <v>7.224930000000001</v>
      </c>
      <c r="O32" s="90"/>
      <c r="P32" s="90"/>
      <c r="Q32" s="49"/>
      <c r="R32" s="55"/>
      <c r="S32" s="60"/>
      <c r="T32" s="65"/>
      <c r="U32" s="66"/>
      <c r="V32" s="65"/>
    </row>
    <row r="33" spans="1:22" ht="40.5" customHeight="1" thickBot="1">
      <c r="A33" s="18"/>
      <c r="B33" s="82" t="s">
        <v>40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75"/>
      <c r="S33" s="26"/>
      <c r="T33" s="69"/>
      <c r="U33" s="70"/>
      <c r="V33" s="70"/>
    </row>
    <row r="34" spans="1:22" ht="12.75" customHeight="1" thickBot="1">
      <c r="A34" s="138" t="s">
        <v>33</v>
      </c>
      <c r="B34" s="142">
        <v>33</v>
      </c>
      <c r="C34" s="143">
        <v>0.175</v>
      </c>
      <c r="D34" s="121">
        <v>50</v>
      </c>
      <c r="E34" s="121">
        <v>1.18</v>
      </c>
      <c r="F34" s="121">
        <v>13</v>
      </c>
      <c r="G34" s="143">
        <v>60.65</v>
      </c>
      <c r="H34" s="99">
        <v>268.51</v>
      </c>
      <c r="I34" s="56">
        <f>((H34*E34)+F34)-D34</f>
        <v>279.8418</v>
      </c>
      <c r="J34" s="7">
        <f>G34+I34</f>
        <v>340.49179999999996</v>
      </c>
      <c r="K34" s="7">
        <f>J34-H34</f>
        <v>71.98179999999996</v>
      </c>
      <c r="L34" s="56">
        <f>I34*(C34+C35)</f>
        <v>69.96045</v>
      </c>
      <c r="M34" s="7">
        <f>J34*C34</f>
        <v>59.58606499999999</v>
      </c>
      <c r="N34" s="13">
        <f>K34*C34</f>
        <v>12.596814999999992</v>
      </c>
      <c r="O34" s="56">
        <f>N34+N35</f>
        <v>16.703949999999992</v>
      </c>
      <c r="P34" s="56">
        <f>SUM(N34:N35)/SUM(C34:C35)</f>
        <v>66.81579999999997</v>
      </c>
      <c r="Q34" s="58">
        <f>P34/P4</f>
        <v>22.767350888670812</v>
      </c>
      <c r="R34" s="55">
        <f>(P34-P4)*(C34+C35)</f>
        <v>15.970269999999992</v>
      </c>
      <c r="S34" s="59">
        <f>H34*(C34+C35)</f>
        <v>67.1275</v>
      </c>
      <c r="T34" s="65">
        <f>H34*0.634</f>
        <v>170.23534</v>
      </c>
      <c r="U34" s="66">
        <f>T34*(C34+C35)</f>
        <v>42.558835</v>
      </c>
      <c r="V34" s="65">
        <f>(H34*(C34+C35))-U34</f>
        <v>24.568664999999996</v>
      </c>
    </row>
    <row r="35" spans="1:22" ht="13.5" customHeight="1" thickBot="1">
      <c r="A35" s="139" t="s">
        <v>34</v>
      </c>
      <c r="B35" s="144"/>
      <c r="C35" s="145">
        <v>0.075</v>
      </c>
      <c r="D35" s="123"/>
      <c r="E35" s="123"/>
      <c r="F35" s="123"/>
      <c r="G35" s="145">
        <v>43.43</v>
      </c>
      <c r="H35" s="100"/>
      <c r="I35" s="57"/>
      <c r="J35" s="8">
        <f>G35+I34</f>
        <v>323.2718</v>
      </c>
      <c r="K35" s="8">
        <f>J35-H34</f>
        <v>54.761799999999994</v>
      </c>
      <c r="L35" s="98"/>
      <c r="M35" s="8">
        <f>J35*C35</f>
        <v>24.245385</v>
      </c>
      <c r="N35" s="14">
        <f>K35*C35</f>
        <v>4.1071349999999995</v>
      </c>
      <c r="O35" s="57"/>
      <c r="P35" s="57"/>
      <c r="Q35" s="49"/>
      <c r="R35" s="55"/>
      <c r="S35" s="60"/>
      <c r="T35" s="65"/>
      <c r="U35" s="66"/>
      <c r="V35" s="65"/>
    </row>
    <row r="36" spans="1:22" ht="66.75" customHeight="1" thickBo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52" t="s">
        <v>51</v>
      </c>
      <c r="L36" s="53"/>
      <c r="M36" s="53"/>
      <c r="N36" s="53"/>
      <c r="O36" s="53"/>
      <c r="P36" s="53"/>
      <c r="Q36" s="53"/>
      <c r="R36" s="54"/>
      <c r="S36" s="45" t="s">
        <v>72</v>
      </c>
      <c r="T36" s="42"/>
      <c r="U36" s="39"/>
      <c r="V36" s="46" t="s">
        <v>73</v>
      </c>
    </row>
    <row r="37" spans="1:22" ht="30" customHeight="1" thickBot="1">
      <c r="A37" s="61"/>
      <c r="B37" s="62"/>
      <c r="C37" s="62"/>
      <c r="D37" s="62"/>
      <c r="E37" s="62"/>
      <c r="F37" s="62"/>
      <c r="G37" s="62"/>
      <c r="H37" s="62"/>
      <c r="I37" s="62"/>
      <c r="J37" s="51"/>
      <c r="K37" s="27" t="s">
        <v>52</v>
      </c>
      <c r="L37" s="28">
        <f>SUM(L12:L29)+L9+L31+L34</f>
        <v>873.811509</v>
      </c>
      <c r="M37" s="61"/>
      <c r="N37" s="62"/>
      <c r="O37" s="51"/>
      <c r="P37" s="104" t="s">
        <v>53</v>
      </c>
      <c r="Q37" s="62"/>
      <c r="R37" s="28">
        <f>SUM(R12:R29)+R7+R31+R34</f>
        <v>274.5102501999999</v>
      </c>
      <c r="S37" s="41">
        <f>SUM(S12:S29)+S7+S31+S34</f>
        <v>937.92183</v>
      </c>
      <c r="T37" s="43"/>
      <c r="U37" s="44"/>
      <c r="V37" s="40">
        <f>SUM(V12:V29)+V7+V31+V34</f>
        <v>343.27938978</v>
      </c>
    </row>
  </sheetData>
  <sheetProtection password="C71F" sheet="1" objects="1" scenarios="1"/>
  <mergeCells count="215">
    <mergeCell ref="A2:H2"/>
    <mergeCell ref="Q31:Q32"/>
    <mergeCell ref="O26:O27"/>
    <mergeCell ref="O18:O19"/>
    <mergeCell ref="F7:F8"/>
    <mergeCell ref="H7:H8"/>
    <mergeCell ref="I7:I8"/>
    <mergeCell ref="Q24:Q25"/>
    <mergeCell ref="O28:O29"/>
    <mergeCell ref="L24:L25"/>
    <mergeCell ref="P22:P23"/>
    <mergeCell ref="P37:Q37"/>
    <mergeCell ref="O9:O10"/>
    <mergeCell ref="O12:O13"/>
    <mergeCell ref="Q7:Q10"/>
    <mergeCell ref="P26:P27"/>
    <mergeCell ref="Q26:Q27"/>
    <mergeCell ref="P31:P32"/>
    <mergeCell ref="P34:P35"/>
    <mergeCell ref="Q34:Q35"/>
    <mergeCell ref="P24:P25"/>
    <mergeCell ref="D34:D35"/>
    <mergeCell ref="E34:E35"/>
    <mergeCell ref="F34:F35"/>
    <mergeCell ref="H34:H35"/>
    <mergeCell ref="L34:L35"/>
    <mergeCell ref="I26:I27"/>
    <mergeCell ref="H26:H27"/>
    <mergeCell ref="I31:I32"/>
    <mergeCell ref="I34:I35"/>
    <mergeCell ref="L31:L32"/>
    <mergeCell ref="L26:L27"/>
    <mergeCell ref="L28:L29"/>
    <mergeCell ref="D31:D32"/>
    <mergeCell ref="E31:E32"/>
    <mergeCell ref="F31:F32"/>
    <mergeCell ref="H31:H32"/>
    <mergeCell ref="D28:D29"/>
    <mergeCell ref="E28:E29"/>
    <mergeCell ref="F28:F29"/>
    <mergeCell ref="H28:H29"/>
    <mergeCell ref="D26:D27"/>
    <mergeCell ref="E26:E27"/>
    <mergeCell ref="F26:F27"/>
    <mergeCell ref="O20:O21"/>
    <mergeCell ref="O22:O23"/>
    <mergeCell ref="O24:O25"/>
    <mergeCell ref="I24:I25"/>
    <mergeCell ref="I22:I23"/>
    <mergeCell ref="L20:L21"/>
    <mergeCell ref="L22:L23"/>
    <mergeCell ref="D24:D25"/>
    <mergeCell ref="E24:E25"/>
    <mergeCell ref="F24:F25"/>
    <mergeCell ref="H24:H25"/>
    <mergeCell ref="Q22:Q23"/>
    <mergeCell ref="B34:B35"/>
    <mergeCell ref="D22:D23"/>
    <mergeCell ref="E22:E23"/>
    <mergeCell ref="F22:F23"/>
    <mergeCell ref="H22:H23"/>
    <mergeCell ref="O31:O32"/>
    <mergeCell ref="O34:O35"/>
    <mergeCell ref="B31:B32"/>
    <mergeCell ref="B22:B23"/>
    <mergeCell ref="Q18:Q19"/>
    <mergeCell ref="D20:D21"/>
    <mergeCell ref="E20:E21"/>
    <mergeCell ref="F20:F21"/>
    <mergeCell ref="H20:H21"/>
    <mergeCell ref="I20:I21"/>
    <mergeCell ref="P20:P21"/>
    <mergeCell ref="Q20:Q21"/>
    <mergeCell ref="F18:F19"/>
    <mergeCell ref="H18:H19"/>
    <mergeCell ref="L14:L15"/>
    <mergeCell ref="L16:L17"/>
    <mergeCell ref="L18:L19"/>
    <mergeCell ref="P18:P19"/>
    <mergeCell ref="P14:P15"/>
    <mergeCell ref="O14:O15"/>
    <mergeCell ref="O16:O17"/>
    <mergeCell ref="P16:P17"/>
    <mergeCell ref="Q16:Q17"/>
    <mergeCell ref="F16:F17"/>
    <mergeCell ref="H16:H17"/>
    <mergeCell ref="I16:I17"/>
    <mergeCell ref="I18:I19"/>
    <mergeCell ref="F14:F15"/>
    <mergeCell ref="H14:H15"/>
    <mergeCell ref="I4:I5"/>
    <mergeCell ref="I14:I15"/>
    <mergeCell ref="F9:F10"/>
    <mergeCell ref="H9:H10"/>
    <mergeCell ref="F12:F13"/>
    <mergeCell ref="H12:H13"/>
    <mergeCell ref="I12:I13"/>
    <mergeCell ref="D14:D15"/>
    <mergeCell ref="D16:D17"/>
    <mergeCell ref="D18:D19"/>
    <mergeCell ref="E14:E15"/>
    <mergeCell ref="E18:E19"/>
    <mergeCell ref="E16:E17"/>
    <mergeCell ref="B24:B25"/>
    <mergeCell ref="B26:B27"/>
    <mergeCell ref="B28:B29"/>
    <mergeCell ref="L12:L13"/>
    <mergeCell ref="B12:B13"/>
    <mergeCell ref="D12:D13"/>
    <mergeCell ref="B14:B15"/>
    <mergeCell ref="B16:B17"/>
    <mergeCell ref="B18:B19"/>
    <mergeCell ref="B20:B21"/>
    <mergeCell ref="E9:E10"/>
    <mergeCell ref="E12:E13"/>
    <mergeCell ref="L9:L10"/>
    <mergeCell ref="I9:I10"/>
    <mergeCell ref="D4:D5"/>
    <mergeCell ref="B9:B10"/>
    <mergeCell ref="D9:D10"/>
    <mergeCell ref="B7:B8"/>
    <mergeCell ref="D7:D8"/>
    <mergeCell ref="L7:L8"/>
    <mergeCell ref="O7:O8"/>
    <mergeCell ref="P7:P8"/>
    <mergeCell ref="B4:B5"/>
    <mergeCell ref="E4:E5"/>
    <mergeCell ref="F4:F5"/>
    <mergeCell ref="H4:H5"/>
    <mergeCell ref="L4:L5"/>
    <mergeCell ref="O4:O5"/>
    <mergeCell ref="E7:E8"/>
    <mergeCell ref="R7:R10"/>
    <mergeCell ref="R12:R13"/>
    <mergeCell ref="R14:R15"/>
    <mergeCell ref="P4:P5"/>
    <mergeCell ref="Q14:Q15"/>
    <mergeCell ref="P12:P13"/>
    <mergeCell ref="Q12:Q13"/>
    <mergeCell ref="P9:P10"/>
    <mergeCell ref="R16:R17"/>
    <mergeCell ref="R18:R19"/>
    <mergeCell ref="R20:R21"/>
    <mergeCell ref="R22:R23"/>
    <mergeCell ref="B3:R3"/>
    <mergeCell ref="Q4:R5"/>
    <mergeCell ref="A6:R6"/>
    <mergeCell ref="R34:R35"/>
    <mergeCell ref="B11:R11"/>
    <mergeCell ref="B30:R30"/>
    <mergeCell ref="B33:R33"/>
    <mergeCell ref="R24:R25"/>
    <mergeCell ref="R26:R27"/>
    <mergeCell ref="R28:R29"/>
    <mergeCell ref="T34:T35"/>
    <mergeCell ref="T7:T10"/>
    <mergeCell ref="T20:T21"/>
    <mergeCell ref="T22:T23"/>
    <mergeCell ref="T24:T25"/>
    <mergeCell ref="T26:T27"/>
    <mergeCell ref="T12:T13"/>
    <mergeCell ref="T14:T15"/>
    <mergeCell ref="T16:T17"/>
    <mergeCell ref="T18:T19"/>
    <mergeCell ref="U16:U17"/>
    <mergeCell ref="U34:U35"/>
    <mergeCell ref="U18:U19"/>
    <mergeCell ref="U20:U21"/>
    <mergeCell ref="U22:U23"/>
    <mergeCell ref="U24:U25"/>
    <mergeCell ref="U26:U27"/>
    <mergeCell ref="U28:U29"/>
    <mergeCell ref="U31:U32"/>
    <mergeCell ref="V34:V35"/>
    <mergeCell ref="V18:V19"/>
    <mergeCell ref="V20:V21"/>
    <mergeCell ref="V22:V23"/>
    <mergeCell ref="V24:V25"/>
    <mergeCell ref="T33:V33"/>
    <mergeCell ref="T30:V30"/>
    <mergeCell ref="V26:V27"/>
    <mergeCell ref="V28:V29"/>
    <mergeCell ref="V31:V32"/>
    <mergeCell ref="T28:T29"/>
    <mergeCell ref="T31:T32"/>
    <mergeCell ref="T6:V6"/>
    <mergeCell ref="T4:V5"/>
    <mergeCell ref="V12:V13"/>
    <mergeCell ref="V14:V15"/>
    <mergeCell ref="V16:V17"/>
    <mergeCell ref="T11:V11"/>
    <mergeCell ref="U12:U13"/>
    <mergeCell ref="U14:U15"/>
    <mergeCell ref="T3:V3"/>
    <mergeCell ref="S7:S10"/>
    <mergeCell ref="V7:V10"/>
    <mergeCell ref="U7:U10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1:S32"/>
    <mergeCell ref="S34:S35"/>
    <mergeCell ref="A37:J37"/>
    <mergeCell ref="M37:O37"/>
    <mergeCell ref="K36:R36"/>
    <mergeCell ref="R31:R32"/>
    <mergeCell ref="I28:I29"/>
    <mergeCell ref="P28:P29"/>
    <mergeCell ref="Q28:Q2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3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2022-05-08T11:53:06Z</cp:lastPrinted>
  <dcterms:created xsi:type="dcterms:W3CDTF">2022-05-01T22:21:31Z</dcterms:created>
  <dcterms:modified xsi:type="dcterms:W3CDTF">2022-05-22T13:57:04Z</dcterms:modified>
  <cp:category/>
  <cp:version/>
  <cp:contentType/>
  <cp:contentStatus/>
</cp:coreProperties>
</file>